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 First" sheetId="1" state="visible" r:id="rId1"/>
    <sheet xmlns:r="http://schemas.openxmlformats.org/officeDocument/2006/relationships" name="Calculato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&quot;%&quot;"/>
    <numFmt numFmtId="166" formatCode="0.000"/>
  </numFmts>
  <fonts count="14">
    <font>
      <name val="Calibri"/>
      <family val="2"/>
      <color theme="1"/>
      <sz val="11"/>
      <scheme val="minor"/>
    </font>
    <font>
      <name val="Calibri"/>
      <b val="1"/>
      <color rgb="00000066"/>
      <sz val="22"/>
    </font>
    <font>
      <name val="Calibri"/>
      <i val="1"/>
      <color rgb="00666666"/>
      <sz val="12"/>
    </font>
    <font>
      <b val="1"/>
      <color rgb="00000066"/>
      <sz val="14"/>
    </font>
    <font>
      <name val="Calibri"/>
      <b val="1"/>
      <color rgb="00FFFFFF"/>
      <sz val="20"/>
    </font>
    <font>
      <i val="1"/>
      <color rgb="00666666"/>
      <sz val="11"/>
    </font>
    <font>
      <b val="1"/>
      <color rgb="00FFFFFF"/>
      <sz val="12"/>
    </font>
    <font>
      <sz val="11"/>
    </font>
    <font>
      <b val="1"/>
      <color rgb="00000066"/>
      <sz val="11"/>
    </font>
    <font>
      <i val="1"/>
      <color rgb="00666666"/>
      <sz val="10"/>
    </font>
    <font>
      <color rgb="00000000"/>
      <sz val="11"/>
    </font>
    <font>
      <b val="1"/>
      <color rgb="00000066"/>
      <sz val="12"/>
    </font>
    <font>
      <b val="1"/>
      <color rgb="00FFFFFF"/>
      <sz val="14"/>
    </font>
    <font>
      <b val="1"/>
      <color rgb="00FFFFFF"/>
      <sz val="16"/>
    </font>
  </fonts>
  <fills count="7">
    <fill>
      <patternFill/>
    </fill>
    <fill>
      <patternFill patternType="gray125"/>
    </fill>
    <fill>
      <patternFill patternType="solid">
        <fgColor rgb="00000066"/>
      </patternFill>
    </fill>
    <fill>
      <patternFill patternType="solid">
        <fgColor rgb="002491D0"/>
      </patternFill>
    </fill>
    <fill>
      <patternFill patternType="solid">
        <fgColor rgb="00FFF8DC"/>
      </patternFill>
    </fill>
    <fill>
      <patternFill patternType="solid">
        <fgColor rgb="00E6F2FB"/>
      </patternFill>
    </fill>
    <fill>
      <patternFill patternType="solid">
        <fgColor rgb="00CD0022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6" fillId="3" borderId="0" applyAlignment="1" pivotButton="0" quotePrefix="0" xfId="0">
      <alignment horizontal="left" vertical="center" indent="1"/>
    </xf>
    <xf numFmtId="0" fontId="7" fillId="0" borderId="0" applyAlignment="1" pivotButton="0" quotePrefix="0" xfId="0">
      <alignment vertical="center" indent="1"/>
    </xf>
    <xf numFmtId="164" fontId="8" fillId="4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 indent="1"/>
    </xf>
    <xf numFmtId="3" fontId="10" fillId="0" borderId="1" applyAlignment="1" pivotButton="0" quotePrefix="0" xfId="0">
      <alignment horizontal="center" vertical="center"/>
    </xf>
    <xf numFmtId="1" fontId="8" fillId="4" borderId="1" applyAlignment="1" pivotButton="0" quotePrefix="0" xfId="0">
      <alignment horizontal="center" vertical="center"/>
    </xf>
    <xf numFmtId="165" fontId="8" fillId="4" borderId="1" applyAlignment="1" pivotButton="0" quotePrefix="0" xfId="0">
      <alignment horizontal="center" vertical="center"/>
    </xf>
    <xf numFmtId="1" fontId="10" fillId="0" borderId="1" applyAlignment="1" pivotButton="0" quotePrefix="0" xfId="0">
      <alignment horizontal="center" vertical="center"/>
    </xf>
    <xf numFmtId="166" fontId="10" fillId="0" borderId="1" applyAlignment="1" pivotButton="0" quotePrefix="0" xfId="0">
      <alignment horizontal="center" vertical="center"/>
    </xf>
    <xf numFmtId="2" fontId="8" fillId="4" borderId="1" applyAlignment="1" pivotButton="0" quotePrefix="0" xfId="0">
      <alignment horizontal="center" vertical="center"/>
    </xf>
    <xf numFmtId="3" fontId="8" fillId="4" borderId="1" applyAlignment="1" pivotButton="0" quotePrefix="0" xfId="0">
      <alignment horizontal="center" vertical="center"/>
    </xf>
    <xf numFmtId="0" fontId="11" fillId="5" borderId="1" applyAlignment="1" pivotButton="0" quotePrefix="0" xfId="0">
      <alignment vertical="center" indent="1"/>
    </xf>
    <xf numFmtId="3" fontId="8" fillId="5" borderId="1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center" indent="1"/>
    </xf>
    <xf numFmtId="9" fontId="8" fillId="4" borderId="1" applyAlignment="1" pivotButton="0" quotePrefix="0" xfId="0">
      <alignment horizontal="center" vertical="center"/>
    </xf>
    <xf numFmtId="0" fontId="12" fillId="6" borderId="0" applyAlignment="1" pivotButton="0" quotePrefix="0" xfId="0">
      <alignment horizontal="right" vertical="center" indent="1"/>
    </xf>
    <xf numFmtId="3" fontId="13" fillId="6" borderId="1" applyAlignment="1" pivotButton="0" quotePrefix="0" xfId="0">
      <alignment horizontal="center" vertical="center"/>
    </xf>
    <xf numFmtId="0" fontId="6" fillId="6" borderId="0" applyAlignment="1" pivotButton="0" quotePrefix="0" xfId="0">
      <alignment horizontal="left" vertical="center" indent="1"/>
    </xf>
    <xf numFmtId="0" fontId="11" fillId="0" borderId="0" pivotButton="0" quotePrefix="0" xfId="0"/>
    <xf numFmtId="0" fontId="0" fillId="0" borderId="0" applyAlignment="1" pivotButton="0" quotePrefix="0" xfId="0">
      <alignment wrapText="1"/>
    </xf>
    <xf numFmtId="0" fontId="11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8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Wine Cellar Heat-Load Calculator</t>
        </is>
      </c>
    </row>
    <row r="2">
      <c r="A2" s="2" t="inlineStr">
        <is>
          <t>By T&amp;H Mechanical  •  thmechmn.com  •  (651) 413-3331</t>
        </is>
      </c>
    </row>
    <row r="3">
      <c r="A3" t="inlineStr"/>
    </row>
    <row r="4">
      <c r="A4" s="3" t="inlineStr">
        <is>
          <t>What this is</t>
        </is>
      </c>
    </row>
    <row r="5" ht="70" customHeight="1">
      <c r="A5" s="4" t="inlineStr">
        <is>
          <t>A residential wine-cellar refrigeration sizing tool. Enter your room dimensions, insulation, glass, lights, and design conditions on the Calculator tab. The spreadsheet computes total heat load (BTU/hr) and converts it to the cooling capacity you need from a wine-cellar refrigeration unit.</t>
        </is>
      </c>
    </row>
    <row r="7">
      <c r="A7" s="3" t="inlineStr">
        <is>
          <t>How to use it</t>
        </is>
      </c>
    </row>
    <row r="8">
      <c r="A8" t="inlineStr">
        <is>
          <t>1.  Go to the 'Calculator' tab.</t>
        </is>
      </c>
    </row>
    <row r="9">
      <c r="A9" t="inlineStr">
        <is>
          <t>2.  Fill in every YELLOW cell with your project's numbers.</t>
        </is>
      </c>
    </row>
    <row r="10">
      <c r="A10" t="inlineStr">
        <is>
          <t>3.  The white cells will auto-calculate. The bold red final answer at the bottom is your required BTU/hr.</t>
        </is>
      </c>
    </row>
    <row r="11">
      <c r="A11" t="inlineStr">
        <is>
          <t>4.  Pick a wine-cellar cooling unit rated AT OR ABOVE that BTU/hr at 55°F supply / 85°F ambient.</t>
        </is>
      </c>
    </row>
    <row r="12">
      <c r="A12" t="inlineStr">
        <is>
          <t>5.  When in doubt, call us — sizing a wine room is not the same as sizing a mini split.</t>
        </is>
      </c>
    </row>
    <row r="14">
      <c r="A14" s="3" t="inlineStr">
        <is>
          <t>The 5 heat-load components this tool calculates</t>
        </is>
      </c>
    </row>
    <row r="15">
      <c r="A15" t="inlineStr">
        <is>
          <t>1.  TRANSMISSION — Heat conducting through walls, ceiling, and floor (U-value × area × ΔT).</t>
        </is>
      </c>
    </row>
    <row r="16">
      <c r="A16" t="inlineStr">
        <is>
          <t>2.  INFILTRATION — Outside air leaking in through cracks, the door, and the vapor barrier.</t>
        </is>
      </c>
    </row>
    <row r="17">
      <c r="A17" t="inlineStr">
        <is>
          <t>3.  PRODUCT — The energy needed to cool warm bottles down to 55°F at first stock-up.</t>
        </is>
      </c>
    </row>
    <row r="18">
      <c r="A18" t="inlineStr">
        <is>
          <t>4.  INTERNAL — Lights, the evaporator fan motor itself, and door-opening heat.</t>
        </is>
      </c>
    </row>
    <row r="19">
      <c r="A19" t="inlineStr">
        <is>
          <t>5.  SAFETY FACTOR — Industry-standard 10–15% derate for unknowns (coil fouling, infiltration drift, cellar additions over time).</t>
        </is>
      </c>
    </row>
    <row r="21">
      <c r="A21" s="3" t="inlineStr">
        <is>
          <t>Important assumptions baked in</t>
        </is>
      </c>
    </row>
    <row r="22">
      <c r="A22" t="inlineStr">
        <is>
          <t>•  Target cellar condition: 55°F dry bulb, 60–70% relative humidity (the industry standard).</t>
        </is>
      </c>
    </row>
    <row r="23">
      <c r="A23" t="inlineStr">
        <is>
          <t>•  Coil temperature difference (TD): 8–10°F. This is the WHOLE POINT of a wine-cellar unit and why a normal mini-split won't work — a normal mini-split runs an 18–22°F TD and will strip humidity to 30% RH in days.</t>
        </is>
      </c>
    </row>
    <row r="24">
      <c r="A24" t="inlineStr">
        <is>
          <t>•  Floor heat gain assumed negligible (slab at 55°F nominal). Adjust manually if floor is above a heated room.</t>
        </is>
      </c>
    </row>
    <row r="25">
      <c r="A25" t="inlineStr">
        <is>
          <t>•  Glass U-values used are typical of low-E, argon-filled, dual-pane wine-room doors. Check your spec sheet.</t>
        </is>
      </c>
    </row>
    <row r="27">
      <c r="A27" s="3" t="inlineStr">
        <is>
          <t>Disclaimer</t>
        </is>
      </c>
    </row>
    <row r="28" ht="60" customHeight="1">
      <c r="A28" s="4" t="inlineStr">
        <is>
          <t>This calculator is provided free as an educational tool. For a binding sizing recommendation, have a qualified mechanical contractor or wine-cellar refrigeration specialist run a project-specific load calc. T&amp;H Mechanical assumes no liability for equipment selected solely on the output of this spreadsheet.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6"/>
  <sheetViews>
    <sheetView showGridLines="0" zoomScale="110" workbookViewId="0">
      <selection activeCell="A1" sqref="A1"/>
    </sheetView>
  </sheetViews>
  <sheetFormatPr baseColWidth="8" defaultRowHeight="15"/>
  <cols>
    <col width="6" customWidth="1" min="1" max="1"/>
    <col width="48" customWidth="1" min="2" max="2"/>
    <col width="14" customWidth="1" min="3" max="3"/>
    <col width="10" customWidth="1" min="4" max="4"/>
    <col width="14" customWidth="1" min="5" max="5"/>
    <col width="22" customWidth="1" min="6" max="6"/>
  </cols>
  <sheetData>
    <row r="1" ht="36" customHeight="1">
      <c r="A1" s="5" t="inlineStr">
        <is>
          <t>Wine Cellar Heat-Load Calculator</t>
        </is>
      </c>
    </row>
    <row r="2">
      <c r="A2" s="6" t="inlineStr">
        <is>
          <t>T&amp;H Mechanical  •  Yellow cells = your inputs  •  White cells = calculated</t>
        </is>
      </c>
    </row>
    <row r="4" ht="22" customHeight="1">
      <c r="A4" s="7" t="inlineStr">
        <is>
          <t>STEP 1 — Room Geometry</t>
        </is>
      </c>
    </row>
    <row r="5">
      <c r="B5" s="8" t="inlineStr">
        <is>
          <t>Cellar length</t>
        </is>
      </c>
      <c r="C5" s="9" t="n">
        <v>10</v>
      </c>
      <c r="D5" s="10" t="inlineStr">
        <is>
          <t>ft</t>
        </is>
      </c>
    </row>
    <row r="6">
      <c r="B6" s="8" t="inlineStr">
        <is>
          <t>Cellar width</t>
        </is>
      </c>
      <c r="C6" s="9" t="n">
        <v>8</v>
      </c>
      <c r="D6" s="10" t="inlineStr">
        <is>
          <t>ft</t>
        </is>
      </c>
    </row>
    <row r="7">
      <c r="B7" s="8" t="inlineStr">
        <is>
          <t>Cellar ceiling height</t>
        </is>
      </c>
      <c r="C7" s="9" t="n">
        <v>8</v>
      </c>
      <c r="D7" s="10" t="inlineStr">
        <is>
          <t>ft</t>
        </is>
      </c>
    </row>
    <row r="8">
      <c r="B8" s="8" t="inlineStr">
        <is>
          <t>Cellar volume</t>
        </is>
      </c>
      <c r="C8" s="11">
        <f>C5*C6*C7</f>
        <v/>
      </c>
      <c r="D8" s="10" t="inlineStr">
        <is>
          <t>cubic ft</t>
        </is>
      </c>
    </row>
    <row r="9">
      <c r="B9" s="8" t="inlineStr">
        <is>
          <t>Total wall area (Length+Width × 2 × Height)</t>
        </is>
      </c>
      <c r="C9" s="11">
        <f>(C5+C6)*2*C7</f>
        <v/>
      </c>
      <c r="D9" s="10" t="inlineStr">
        <is>
          <t>sq ft</t>
        </is>
      </c>
    </row>
    <row r="10">
      <c r="B10" s="8" t="inlineStr">
        <is>
          <t>Ceiling area</t>
        </is>
      </c>
      <c r="C10" s="11">
        <f>C5*C6</f>
        <v/>
      </c>
      <c r="D10" s="10" t="inlineStr">
        <is>
          <t>sq ft</t>
        </is>
      </c>
    </row>
    <row r="12" ht="22" customHeight="1">
      <c r="A12" s="7" t="inlineStr">
        <is>
          <t>STEP 2 — Design Conditions</t>
        </is>
      </c>
    </row>
    <row r="13">
      <c r="B13" s="8" t="inlineStr">
        <is>
          <t>Target cellar temperature (industry standard: 55°F)</t>
        </is>
      </c>
      <c r="C13" s="12" t="n">
        <v>55</v>
      </c>
      <c r="D13" s="10" t="inlineStr">
        <is>
          <t>°F</t>
        </is>
      </c>
    </row>
    <row r="14">
      <c r="B14" s="8" t="inlineStr">
        <is>
          <t>Target cellar RH (industry standard: 60–70%)</t>
        </is>
      </c>
      <c r="C14" s="13" t="n">
        <v>65</v>
      </c>
      <c r="D14" s="10" t="inlineStr">
        <is>
          <t>% RH</t>
        </is>
      </c>
    </row>
    <row r="15">
      <c r="B15" s="8" t="inlineStr">
        <is>
          <t>Ambient temperature on the OTHER side of walls (worst-case)</t>
        </is>
      </c>
      <c r="C15" s="12" t="n">
        <v>80</v>
      </c>
      <c r="D15" s="10" t="inlineStr">
        <is>
          <t>°F</t>
        </is>
      </c>
    </row>
    <row r="16">
      <c r="B16" s="8" t="inlineStr">
        <is>
          <t>Temperature difference (ΔT)</t>
        </is>
      </c>
      <c r="C16" s="14">
        <f>C15-C13</f>
        <v/>
      </c>
      <c r="D16" s="10" t="inlineStr">
        <is>
          <t>°F</t>
        </is>
      </c>
    </row>
    <row r="18" ht="22" customHeight="1">
      <c r="A18" s="7" t="inlineStr">
        <is>
          <t>STEP 3 — Insulation R-Values</t>
        </is>
      </c>
    </row>
    <row r="19">
      <c r="B19" s="8" t="inlineStr">
        <is>
          <t>Wall insulation R-value (R-19 typical 2×6 / R-13 typical 2×4 / R-30+ ideal)</t>
        </is>
      </c>
      <c r="C19" s="12" t="n">
        <v>19</v>
      </c>
      <c r="D19" s="10" t="inlineStr">
        <is>
          <t>ft²·°F·h/BTU</t>
        </is>
      </c>
    </row>
    <row r="20">
      <c r="B20" s="8" t="inlineStr">
        <is>
          <t>Ceiling insulation R-value</t>
        </is>
      </c>
      <c r="C20" s="12" t="n">
        <v>30</v>
      </c>
      <c r="D20" s="10" t="inlineStr">
        <is>
          <t>ft²·°F·h/BTU</t>
        </is>
      </c>
    </row>
    <row r="21">
      <c r="B21" s="8" t="inlineStr">
        <is>
          <t>Wall U-value (1/R)</t>
        </is>
      </c>
      <c r="C21" s="15">
        <f>1/C19</f>
        <v/>
      </c>
      <c r="D21" s="10" t="inlineStr">
        <is>
          <t>BTU/h·ft²·°F</t>
        </is>
      </c>
    </row>
    <row r="22">
      <c r="B22" s="8" t="inlineStr">
        <is>
          <t>Ceiling U-value (1/R)</t>
        </is>
      </c>
      <c r="C22" s="15">
        <f>1/C20</f>
        <v/>
      </c>
      <c r="D22" s="10" t="inlineStr">
        <is>
          <t>BTU/h·ft²·°F</t>
        </is>
      </c>
    </row>
    <row r="24" ht="22" customHeight="1">
      <c r="A24" s="7" t="inlineStr">
        <is>
          <t>STEP 4 — Glass / Door</t>
        </is>
      </c>
    </row>
    <row r="25">
      <c r="B25" s="8" t="inlineStr">
        <is>
          <t>Glass area (window + glass door panels). Enter 0 if none.</t>
        </is>
      </c>
      <c r="C25" s="9" t="n">
        <v>0</v>
      </c>
      <c r="D25" s="10" t="inlineStr">
        <is>
          <t>sq ft</t>
        </is>
      </c>
    </row>
    <row r="26">
      <c r="B26" s="8" t="inlineStr">
        <is>
          <t>Glass U-value (typical insulated wine door = 0.30, single pane = 1.10)</t>
        </is>
      </c>
      <c r="C26" s="16" t="n">
        <v>0.3</v>
      </c>
      <c r="D26" s="10" t="inlineStr">
        <is>
          <t>BTU/h·ft²·°F</t>
        </is>
      </c>
    </row>
    <row r="27">
      <c r="B27" s="8" t="inlineStr">
        <is>
          <t>Solid wood door area (interior)</t>
        </is>
      </c>
      <c r="C27" s="9" t="n">
        <v>20</v>
      </c>
      <c r="D27" s="10" t="inlineStr">
        <is>
          <t>sq ft</t>
        </is>
      </c>
    </row>
    <row r="28">
      <c r="B28" s="8" t="inlineStr">
        <is>
          <t>Door U-value (insulated wood = 0.50)</t>
        </is>
      </c>
      <c r="C28" s="16" t="n">
        <v>0.5</v>
      </c>
      <c r="D28" s="10" t="inlineStr">
        <is>
          <t>BTU/h·ft²·°F</t>
        </is>
      </c>
    </row>
    <row r="30" ht="22" customHeight="1">
      <c r="A30" s="7" t="inlineStr">
        <is>
          <t>STEP 5 — Lighting &amp; Internal Loads</t>
        </is>
      </c>
    </row>
    <row r="31">
      <c r="B31" s="8" t="inlineStr">
        <is>
          <t>Total lighting wattage in cellar (LED preferred: 5–15 W per fixture)</t>
        </is>
      </c>
      <c r="C31" s="12" t="n">
        <v>50</v>
      </c>
      <c r="D31" s="10" t="inlineStr">
        <is>
          <t>watts</t>
        </is>
      </c>
    </row>
    <row r="32">
      <c r="B32" s="8" t="inlineStr">
        <is>
          <t>Hours per day lighting is on</t>
        </is>
      </c>
      <c r="C32" s="9" t="n">
        <v>2</v>
      </c>
      <c r="D32" s="10" t="inlineStr">
        <is>
          <t>hr/day</t>
        </is>
      </c>
    </row>
    <row r="33">
      <c r="B33" s="8" t="inlineStr">
        <is>
          <t>Average door openings per day (residential typical: 4)</t>
        </is>
      </c>
      <c r="C33" s="12" t="n">
        <v>4</v>
      </c>
      <c r="D33" s="10" t="inlineStr">
        <is>
          <t>openings/day</t>
        </is>
      </c>
    </row>
    <row r="34">
      <c r="B34" s="8" t="inlineStr">
        <is>
          <t>Evap fan motor heat (use 50 W if unsure — manufacturer typical)</t>
        </is>
      </c>
      <c r="C34" s="12" t="n">
        <v>50</v>
      </c>
      <c r="D34" s="10" t="inlineStr">
        <is>
          <t>watts</t>
        </is>
      </c>
    </row>
    <row r="36" ht="22" customHeight="1">
      <c r="A36" s="7" t="inlineStr">
        <is>
          <t>STEP 6 — Wine Product Load (first stock-up)</t>
        </is>
      </c>
    </row>
    <row r="37">
      <c r="B37" s="8" t="inlineStr">
        <is>
          <t>Number of bottles at first fill-up (use full racking capacity)</t>
        </is>
      </c>
      <c r="C37" s="17" t="n">
        <v>500</v>
      </c>
      <c r="D37" s="10" t="inlineStr">
        <is>
          <t>bottles</t>
        </is>
      </c>
    </row>
    <row r="38">
      <c r="B38" s="8" t="inlineStr">
        <is>
          <t>Bottles' starting temperature (room temp ≈ 70°F)</t>
        </is>
      </c>
      <c r="C38" s="12" t="n">
        <v>70</v>
      </c>
      <c r="D38" s="10" t="inlineStr">
        <is>
          <t>°F</t>
        </is>
      </c>
    </row>
    <row r="39">
      <c r="B39" s="8" t="inlineStr">
        <is>
          <t>Hours allowed for the cellar to pull bottles down to 55°F</t>
        </is>
      </c>
      <c r="C39" s="12" t="n">
        <v>72</v>
      </c>
      <c r="D39" s="10" t="inlineStr">
        <is>
          <t>hr</t>
        </is>
      </c>
    </row>
    <row r="40">
      <c r="B40" s="8" t="inlineStr">
        <is>
          <t>Bottle weight (typical 750 mL wine = 2.65 lb total)</t>
        </is>
      </c>
      <c r="C40" s="16" t="n">
        <v>2.65</v>
      </c>
      <c r="D40" s="10" t="inlineStr">
        <is>
          <t>lb</t>
        </is>
      </c>
    </row>
    <row r="41">
      <c r="B41" s="8" t="inlineStr">
        <is>
          <t>Specific heat of wine (Cp ≈ 0.9 BTU/lb·°F)</t>
        </is>
      </c>
      <c r="C41" s="16" t="n">
        <v>0.9</v>
      </c>
      <c r="D41" s="10" t="inlineStr">
        <is>
          <t>BTU/lb·°F</t>
        </is>
      </c>
    </row>
    <row r="43" ht="22" customHeight="1">
      <c r="A43" s="7" t="inlineStr">
        <is>
          <t>RESULTS — Heat Load Components (BTU per hour)</t>
        </is>
      </c>
    </row>
    <row r="44">
      <c r="B44" s="8" t="inlineStr">
        <is>
          <t>1. Transmission — walls (U × A × ΔT)</t>
        </is>
      </c>
      <c r="E44" s="11">
        <f>C21*(C9-C25-C27)*C16</f>
        <v/>
      </c>
      <c r="F44" s="10" t="inlineStr">
        <is>
          <t>BTU/hr</t>
        </is>
      </c>
    </row>
    <row r="45">
      <c r="B45" s="8" t="inlineStr">
        <is>
          <t>1. Transmission — ceiling (U × A × ΔT)</t>
        </is>
      </c>
      <c r="E45" s="11">
        <f>C22*C10*C16</f>
        <v/>
      </c>
      <c r="F45" s="10" t="inlineStr">
        <is>
          <t>BTU/hr</t>
        </is>
      </c>
    </row>
    <row r="46">
      <c r="B46" s="8" t="inlineStr">
        <is>
          <t>1. Transmission — glass (U × A × ΔT)</t>
        </is>
      </c>
      <c r="E46" s="11">
        <f>C26*C25*C16</f>
        <v/>
      </c>
      <c r="F46" s="10" t="inlineStr">
        <is>
          <t>BTU/hr</t>
        </is>
      </c>
    </row>
    <row r="47">
      <c r="B47" s="8" t="inlineStr">
        <is>
          <t>1. Transmission — solid door (U × A × ΔT)</t>
        </is>
      </c>
      <c r="E47" s="11">
        <f>C28*C27*C16</f>
        <v/>
      </c>
      <c r="F47" s="10" t="inlineStr">
        <is>
          <t>BTU/hr</t>
        </is>
      </c>
    </row>
    <row r="48">
      <c r="B48" s="8" t="inlineStr">
        <is>
          <t>2. Infiltration — sensible (0.5 ACH × volume × ΔT × 0.018)</t>
        </is>
      </c>
      <c r="E48" s="11">
        <f>0.5*C8*C16*0.018</f>
        <v/>
      </c>
      <c r="F48" s="10" t="inlineStr">
        <is>
          <t>BTU/hr</t>
        </is>
      </c>
    </row>
    <row r="49">
      <c r="B49" s="8" t="inlineStr">
        <is>
          <t>2. Infiltration — latent (humidity gain, 0.5 ACH × volume × 4.5 × Δgr/lb assumed)</t>
        </is>
      </c>
      <c r="E49" s="11">
        <f>0.5*C8*4.5*0.5*0.018</f>
        <v/>
      </c>
      <c r="F49" s="10" t="inlineStr">
        <is>
          <t>BTU/hr</t>
        </is>
      </c>
    </row>
    <row r="50">
      <c r="B50" s="8" t="inlineStr">
        <is>
          <t>3. Product cool-down — bottles to 55°F (Q = m·Cp·ΔT / time)</t>
        </is>
      </c>
      <c r="E50" s="11">
        <f>(C37*C40*C41*(C38-C13))/C39</f>
        <v/>
      </c>
      <c r="F50" s="10" t="inlineStr">
        <is>
          <t>BTU/hr</t>
        </is>
      </c>
    </row>
    <row r="51">
      <c r="B51" s="8" t="inlineStr">
        <is>
          <t>4. Internal — lighting (W × hrs/24 × 3.412)</t>
        </is>
      </c>
      <c r="E51" s="11">
        <f>C31*(C32/24)*3.412</f>
        <v/>
      </c>
      <c r="F51" s="10" t="inlineStr">
        <is>
          <t>BTU/hr</t>
        </is>
      </c>
    </row>
    <row r="52">
      <c r="B52" s="8" t="inlineStr">
        <is>
          <t>4. Internal — evap fan motor (W × 3.412, runs continuously)</t>
        </is>
      </c>
      <c r="E52" s="11">
        <f>C34*3.412</f>
        <v/>
      </c>
      <c r="F52" s="10" t="inlineStr">
        <is>
          <t>BTU/hr</t>
        </is>
      </c>
    </row>
    <row r="53">
      <c r="B53" s="8" t="inlineStr">
        <is>
          <t>4. Internal — door opening estimate (openings × volume × ΔT × 0.018 × 0.05)</t>
        </is>
      </c>
      <c r="E53" s="11">
        <f>C33*C8*C16*0.018*0.05</f>
        <v/>
      </c>
      <c r="F53" s="10" t="inlineStr">
        <is>
          <t>BTU/hr</t>
        </is>
      </c>
    </row>
    <row r="55">
      <c r="B55" s="18" t="inlineStr">
        <is>
          <t xml:space="preserve">  SUBTOTAL (components 1–4)</t>
        </is>
      </c>
      <c r="E55" s="19">
        <f>SUM(E44:E53)</f>
        <v/>
      </c>
      <c r="F55" s="20" t="inlineStr">
        <is>
          <t>BTU/hr</t>
        </is>
      </c>
    </row>
    <row r="56">
      <c r="B56" s="8" t="inlineStr">
        <is>
          <t>5. Safety factor (industry standard: 15%)</t>
        </is>
      </c>
      <c r="C56" s="21" t="n">
        <v>0.15</v>
      </c>
      <c r="E56" s="11">
        <f>E55*C56</f>
        <v/>
      </c>
      <c r="F56" s="10" t="inlineStr">
        <is>
          <t>BTU/hr</t>
        </is>
      </c>
    </row>
    <row r="58" ht="30" customHeight="1">
      <c r="A58" s="22" t="inlineStr">
        <is>
          <t>REQUIRED COOLING CAPACITY</t>
        </is>
      </c>
      <c r="E58" s="23">
        <f>E55+E56</f>
        <v/>
      </c>
      <c r="F58" s="24" t="inlineStr">
        <is>
          <t>BTU/hr at 55°F</t>
        </is>
      </c>
    </row>
    <row r="60">
      <c r="A60" s="25" t="inlineStr">
        <is>
          <t>Sizing notes</t>
        </is>
      </c>
    </row>
    <row r="61">
      <c r="A61" s="26" t="inlineStr">
        <is>
          <t>• Pick a wine-cellar cooling unit rated AT OR ABOVE this BTU/hr at the manufacturer's STANDARD CONDITIONS (typically 55°F supply / 85°F ambient).</t>
        </is>
      </c>
    </row>
    <row r="62">
      <c r="A62" s="26" t="inlineStr">
        <is>
          <t>• Wine units derate as ambient rises. If the condenser sits in an attic that hits 110°F, factor a further 15–20% capacity loss.</t>
        </is>
      </c>
    </row>
    <row r="63" ht="32" customHeight="1">
      <c r="A63" s="26" t="inlineStr">
        <is>
          <t>• If your calculated load is under 1,500 BTU/hr, a through-the-wall self-contained unit is usually right. 1,500–4,500 BTU/hr → ducted or ductless split. Above 4,500 BTU/hr → engineered split or multiple units.</t>
        </is>
      </c>
    </row>
    <row r="64" ht="28" customHeight="1">
      <c r="A64" s="26" t="inlineStr">
        <is>
          <t>• Twin Cities homeowners: in dry MN winters even a low-TD coil will pull humidity below 50% RH. Plan a stand-alone ultrasonic humidifier as part of the install.</t>
        </is>
      </c>
    </row>
    <row r="66" ht="24" customHeight="1">
      <c r="A66" s="27" t="inlineStr">
        <is>
          <t>Need a second opinion on the number above? Call T&amp;H Mechanical at (651) 413-3331 or email info@thmechmn.com.</t>
        </is>
      </c>
    </row>
  </sheetData>
  <mergeCells count="16">
    <mergeCell ref="A24:F24"/>
    <mergeCell ref="A2:F2"/>
    <mergeCell ref="A63:F63"/>
    <mergeCell ref="A60:F60"/>
    <mergeCell ref="A58:D58"/>
    <mergeCell ref="A36:F36"/>
    <mergeCell ref="A66:F66"/>
    <mergeCell ref="A1:F1"/>
    <mergeCell ref="A61:F61"/>
    <mergeCell ref="A62:F62"/>
    <mergeCell ref="A18:F18"/>
    <mergeCell ref="A12:F12"/>
    <mergeCell ref="A4:F4"/>
    <mergeCell ref="A30:F30"/>
    <mergeCell ref="A64:F64"/>
    <mergeCell ref="A43:F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2026-05-27T12:46:06Z</dcterms:created>
  <dcterms:modified xmlns:dcterms="http://purl.org/dc/terms/" xmlns:xsi="http://www.w3.org/2001/XMLSchema-instance" xsi:type="dcterms:W3CDTF">2026-05-27T12:46:06Z</dcterms:modified>
</cp:coreProperties>
</file>